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015" windowHeight="7350" activeTab="0"/>
  </bookViews>
  <sheets>
    <sheet name="Conversión" sheetId="1" r:id="rId1"/>
  </sheets>
  <definedNames>
    <definedName name="_xlnm.Print_Area" localSheetId="0">'Conversión'!$A$1:$K$184</definedName>
    <definedName name="_xlnm.Print_Titles" localSheetId="0">'Conversión'!$1:$6</definedName>
  </definedNames>
  <calcPr fullCalcOnLoad="1"/>
</workbook>
</file>

<file path=xl/sharedStrings.xml><?xml version="1.0" encoding="utf-8"?>
<sst xmlns="http://schemas.openxmlformats.org/spreadsheetml/2006/main" count="196" uniqueCount="108">
  <si>
    <t>VOLUMEN</t>
  </si>
  <si>
    <t>lt</t>
  </si>
  <si>
    <t>bar</t>
  </si>
  <si>
    <t>atm</t>
  </si>
  <si>
    <t>mmHg</t>
  </si>
  <si>
    <t>ºC</t>
  </si>
  <si>
    <t>K</t>
  </si>
  <si>
    <t>ºF</t>
  </si>
  <si>
    <t>ºR</t>
  </si>
  <si>
    <t>LONGITUD</t>
  </si>
  <si>
    <t>m</t>
  </si>
  <si>
    <t>plg</t>
  </si>
  <si>
    <t>milla</t>
  </si>
  <si>
    <t>SUPERFICIE</t>
  </si>
  <si>
    <t>MASA</t>
  </si>
  <si>
    <t>FUERZA</t>
  </si>
  <si>
    <t>DENSIDAD</t>
  </si>
  <si>
    <t>g/h</t>
  </si>
  <si>
    <t>g/s</t>
  </si>
  <si>
    <t>lb/h</t>
  </si>
  <si>
    <t>lb/s</t>
  </si>
  <si>
    <t>oz avdp.</t>
  </si>
  <si>
    <t>libras</t>
  </si>
  <si>
    <t>gramos</t>
  </si>
  <si>
    <t>kcal</t>
  </si>
  <si>
    <t>cal</t>
  </si>
  <si>
    <t>BTU</t>
  </si>
  <si>
    <t>hp.hr</t>
  </si>
  <si>
    <t>N</t>
  </si>
  <si>
    <t>kgf</t>
  </si>
  <si>
    <t>lbf</t>
  </si>
  <si>
    <t>l/s</t>
  </si>
  <si>
    <t>l/h</t>
  </si>
  <si>
    <t>W</t>
  </si>
  <si>
    <t>kcal/h</t>
  </si>
  <si>
    <t>BTU/h</t>
  </si>
  <si>
    <t>hp</t>
  </si>
  <si>
    <t>lb/sft</t>
  </si>
  <si>
    <t>kg/hm</t>
  </si>
  <si>
    <t>ft</t>
  </si>
  <si>
    <t>lb/hft</t>
  </si>
  <si>
    <t>PLANILLA PARA CONVERSIÓN DE UNIDADES</t>
  </si>
  <si>
    <r>
      <t>Instrucciones:</t>
    </r>
    <r>
      <rPr>
        <sz val="10"/>
        <rFont val="Arial"/>
        <family val="0"/>
      </rPr>
      <t xml:space="preserve"> Ingresar en los campos en verde el valor a convertir. Ingresarlo en la fila que corresponda a las unidades actuales en que se encuentra dicho valor.</t>
    </r>
  </si>
  <si>
    <t>TEMPERATURA</t>
  </si>
  <si>
    <t xml:space="preserve"> </t>
  </si>
  <si>
    <t>inwg</t>
  </si>
  <si>
    <r>
      <t>mmH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</si>
  <si>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t>BTU/lbºF</t>
  </si>
  <si>
    <t>gal(US)/s</t>
  </si>
  <si>
    <t>gal(US)/h</t>
  </si>
  <si>
    <t>CALOR ESPECÍFICO</t>
  </si>
  <si>
    <t>COEFICIENTE DE TRANSFERENCIA DE CALOR</t>
  </si>
  <si>
    <t>BTU/lb</t>
  </si>
  <si>
    <t>kcal/kg</t>
  </si>
  <si>
    <t>kJ/kg</t>
  </si>
  <si>
    <t>ENTALPÍA (ENERGÍA POR UNIDAD DE MASA)</t>
  </si>
  <si>
    <t>ENERGÍA</t>
  </si>
  <si>
    <t>CAUDAL MÁSICO</t>
  </si>
  <si>
    <t>CAUDAL VOLUMÉTRICO</t>
  </si>
  <si>
    <t>CONDUCTIVIDAD TÉRMICA</t>
  </si>
  <si>
    <t>POTENCIA (FLUJO DE CALOR)</t>
  </si>
  <si>
    <t>PRESIÓN</t>
  </si>
  <si>
    <t>VISCOSIDAD CINEMÁTICA</t>
  </si>
  <si>
    <t>VISCOSIDAD DINÁMICA</t>
  </si>
  <si>
    <t>cSt</t>
  </si>
  <si>
    <t>kg/h</t>
  </si>
  <si>
    <t>kg/s</t>
  </si>
  <si>
    <t>J/kg.K</t>
  </si>
  <si>
    <t>kcal/kg.ºC</t>
  </si>
  <si>
    <r>
      <t>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</t>
    </r>
  </si>
  <si>
    <r>
      <t>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/h</t>
    </r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</si>
  <si>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</t>
    </r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</si>
  <si>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/h</t>
    </r>
  </si>
  <si>
    <r>
      <t>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</t>
    </r>
  </si>
  <si>
    <r>
      <t>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.K</t>
    </r>
  </si>
  <si>
    <r>
      <t>BTU/h.ft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.F</t>
    </r>
  </si>
  <si>
    <r>
      <t>cal/s.cm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.ºC</t>
    </r>
  </si>
  <si>
    <r>
      <t>W/cm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.ºC</t>
    </r>
  </si>
  <si>
    <r>
      <t>kcal/h.m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.ºC</t>
    </r>
  </si>
  <si>
    <r>
      <t>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.ºC/m</t>
    </r>
  </si>
  <si>
    <r>
      <t>BTU/h.ft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.°F/ft</t>
    </r>
  </si>
  <si>
    <r>
      <t>cal/s.cm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.°C/cm</t>
    </r>
  </si>
  <si>
    <r>
      <t>W/cm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.ºC/cm</t>
    </r>
  </si>
  <si>
    <r>
      <t>kcal/h.m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.°C/m</t>
    </r>
  </si>
  <si>
    <r>
      <t>kg/m</t>
    </r>
    <r>
      <rPr>
        <b/>
        <vertAlign val="superscript"/>
        <sz val="10"/>
        <rFont val="Arial"/>
        <family val="2"/>
      </rPr>
      <t>3</t>
    </r>
  </si>
  <si>
    <r>
      <t>lb/ft</t>
    </r>
    <r>
      <rPr>
        <b/>
        <vertAlign val="superscript"/>
        <sz val="10"/>
        <rFont val="Arial"/>
        <family val="2"/>
      </rPr>
      <t>3</t>
    </r>
  </si>
  <si>
    <r>
      <t>lb/plg</t>
    </r>
    <r>
      <rPr>
        <b/>
        <vertAlign val="superscript"/>
        <sz val="10"/>
        <rFont val="Arial"/>
        <family val="2"/>
      </rPr>
      <t>3</t>
    </r>
  </si>
  <si>
    <r>
      <t>g/cm</t>
    </r>
    <r>
      <rPr>
        <b/>
        <vertAlign val="superscript"/>
        <sz val="10"/>
        <rFont val="Arial"/>
        <family val="2"/>
      </rPr>
      <t>3</t>
    </r>
  </si>
  <si>
    <t>kwh</t>
  </si>
  <si>
    <t>kg</t>
  </si>
  <si>
    <r>
      <t>psi(lb/plg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</si>
  <si>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kgf/cm</t>
    </r>
    <r>
      <rPr>
        <b/>
        <vertAlign val="superscript"/>
        <sz val="10"/>
        <rFont val="Arial"/>
        <family val="2"/>
      </rPr>
      <t>2</t>
    </r>
  </si>
  <si>
    <r>
      <t>m</t>
    </r>
    <r>
      <rPr>
        <b/>
        <vertAlign val="superscript"/>
        <sz val="10"/>
        <rFont val="Arial"/>
        <family val="2"/>
      </rPr>
      <t>2</t>
    </r>
  </si>
  <si>
    <r>
      <t>plg</t>
    </r>
    <r>
      <rPr>
        <b/>
        <vertAlign val="superscript"/>
        <sz val="10"/>
        <rFont val="Arial"/>
        <family val="2"/>
      </rPr>
      <t>2</t>
    </r>
  </si>
  <si>
    <r>
      <t>ft</t>
    </r>
    <r>
      <rPr>
        <b/>
        <vertAlign val="superscript"/>
        <sz val="10"/>
        <rFont val="Arial"/>
        <family val="2"/>
      </rPr>
      <t>2</t>
    </r>
  </si>
  <si>
    <r>
      <t>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/s</t>
    </r>
  </si>
  <si>
    <r>
      <t>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/s</t>
    </r>
  </si>
  <si>
    <r>
      <t>Ns/m</t>
    </r>
    <r>
      <rPr>
        <b/>
        <vertAlign val="superscript"/>
        <sz val="10"/>
        <rFont val="Arial"/>
        <family val="2"/>
      </rPr>
      <t>2</t>
    </r>
  </si>
  <si>
    <t>cp</t>
  </si>
  <si>
    <r>
      <t>lbfs/ft</t>
    </r>
    <r>
      <rPr>
        <b/>
        <vertAlign val="superscript"/>
        <sz val="10"/>
        <rFont val="Arial"/>
        <family val="2"/>
      </rPr>
      <t>2</t>
    </r>
  </si>
  <si>
    <r>
      <t>m</t>
    </r>
    <r>
      <rPr>
        <b/>
        <vertAlign val="superscript"/>
        <sz val="10"/>
        <rFont val="Arial"/>
        <family val="2"/>
      </rPr>
      <t>3</t>
    </r>
  </si>
  <si>
    <r>
      <t>plg</t>
    </r>
    <r>
      <rPr>
        <b/>
        <vertAlign val="superscript"/>
        <sz val="10"/>
        <rFont val="Arial"/>
        <family val="2"/>
      </rPr>
      <t>3</t>
    </r>
  </si>
  <si>
    <r>
      <t>ft</t>
    </r>
    <r>
      <rPr>
        <b/>
        <vertAlign val="superscript"/>
        <sz val="10"/>
        <rFont val="Arial"/>
        <family val="2"/>
      </rPr>
      <t>3</t>
    </r>
  </si>
  <si>
    <r>
      <t>cm</t>
    </r>
    <r>
      <rPr>
        <b/>
        <vertAlign val="superscript"/>
        <sz val="10"/>
        <rFont val="Arial"/>
        <family val="2"/>
      </rPr>
      <t>3</t>
    </r>
  </si>
  <si>
    <t>gal(US)</t>
  </si>
  <si>
    <r>
      <t>Pa (N/m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</si>
  <si>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/h</t>
    </r>
  </si>
  <si>
    <t>J (Joule)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</si>
</sst>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E+00"/>
    <numFmt numFmtId="181" formatCode="0.000E+00"/>
    <numFmt numFmtId="182" formatCode="0.0E+00"/>
    <numFmt numFmtId="183" formatCode="0E+00"/>
    <numFmt numFmtId="184" formatCode="0.00000E+00"/>
    <numFmt numFmtId="185" formatCode="0.000000E+00"/>
    <numFmt numFmtId="186" formatCode="0.0000000E+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0"/>
    <numFmt numFmtId="193" formatCode="0.00000"/>
    <numFmt numFmtId="194" formatCode="0.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Black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189" fontId="0" fillId="35" borderId="10" xfId="0" applyNumberFormat="1" applyFill="1" applyBorder="1" applyAlignment="1">
      <alignment/>
    </xf>
    <xf numFmtId="190" fontId="0" fillId="35" borderId="10" xfId="0" applyNumberFormat="1" applyFill="1" applyBorder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187" fontId="0" fillId="35" borderId="10" xfId="0" applyNumberFormat="1" applyFill="1" applyBorder="1" applyAlignment="1">
      <alignment/>
    </xf>
    <xf numFmtId="188" fontId="0" fillId="35" borderId="10" xfId="0" applyNumberFormat="1" applyFill="1" applyBorder="1" applyAlignment="1">
      <alignment/>
    </xf>
    <xf numFmtId="193" fontId="0" fillId="35" borderId="10" xfId="0" applyNumberFormat="1" applyFill="1" applyBorder="1" applyAlignment="1">
      <alignment/>
    </xf>
    <xf numFmtId="194" fontId="0" fillId="35" borderId="10" xfId="0" applyNumberFormat="1" applyFill="1" applyBorder="1" applyAlignment="1">
      <alignment/>
    </xf>
    <xf numFmtId="189" fontId="0" fillId="35" borderId="10" xfId="0" applyNumberFormat="1" applyFont="1" applyFill="1" applyBorder="1" applyAlignment="1">
      <alignment/>
    </xf>
    <xf numFmtId="191" fontId="0" fillId="35" borderId="10" xfId="0" applyNumberFormat="1" applyFill="1" applyBorder="1" applyAlignment="1">
      <alignment/>
    </xf>
    <xf numFmtId="190" fontId="0" fillId="35" borderId="10" xfId="0" applyNumberFormat="1" applyFont="1" applyFill="1" applyBorder="1" applyAlignment="1">
      <alignment/>
    </xf>
    <xf numFmtId="192" fontId="0" fillId="35" borderId="10" xfId="0" applyNumberFormat="1" applyFont="1" applyFill="1" applyBorder="1" applyAlignment="1">
      <alignment/>
    </xf>
    <xf numFmtId="0" fontId="3" fillId="36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0</xdr:rowOff>
    </xdr:from>
    <xdr:to>
      <xdr:col>5</xdr:col>
      <xdr:colOff>666750</xdr:colOff>
      <xdr:row>2</xdr:row>
      <xdr:rowOff>38100</xdr:rowOff>
    </xdr:to>
    <xdr:pic>
      <xdr:nvPicPr>
        <xdr:cNvPr id="1" name="1 Imagen" descr="Logo MGC 2016 90pc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0"/>
          <a:ext cx="1276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3"/>
  <sheetViews>
    <sheetView tabSelected="1" zoomScale="94" zoomScaleNormal="94" zoomScalePageLayoutView="0" workbookViewId="0" topLeftCell="A1">
      <pane ySplit="6" topLeftCell="A28" activePane="bottomLeft" state="frozen"/>
      <selection pane="topLeft" activeCell="A1" sqref="A1"/>
      <selection pane="bottomLeft" activeCell="E29" sqref="E29"/>
    </sheetView>
  </sheetViews>
  <sheetFormatPr defaultColWidth="11.421875" defaultRowHeight="12.75"/>
  <cols>
    <col min="1" max="1" width="15.57421875" style="0" customWidth="1"/>
    <col min="2" max="2" width="13.28125" style="0" bestFit="1" customWidth="1"/>
    <col min="3" max="3" width="13.7109375" style="0" bestFit="1" customWidth="1"/>
    <col min="4" max="4" width="15.7109375" style="0" bestFit="1" customWidth="1"/>
    <col min="5" max="5" width="13.421875" style="0" bestFit="1" customWidth="1"/>
    <col min="6" max="6" width="15.00390625" style="0" bestFit="1" customWidth="1"/>
    <col min="7" max="7" width="13.28125" style="0" bestFit="1" customWidth="1"/>
    <col min="8" max="8" width="11.421875" style="0" customWidth="1"/>
    <col min="9" max="9" width="13.421875" style="0" bestFit="1" customWidth="1"/>
    <col min="10" max="10" width="13.28125" style="0" bestFit="1" customWidth="1"/>
  </cols>
  <sheetData>
    <row r="1" spans="1:11" ht="36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36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8.75">
      <c r="A3" s="27" t="s">
        <v>41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>
      <c r="A6" s="28" t="s">
        <v>42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2" ht="12.75">
      <c r="A7" t="s">
        <v>44</v>
      </c>
      <c r="B7" t="s">
        <v>44</v>
      </c>
    </row>
    <row r="9" spans="1:4" ht="12.75">
      <c r="A9" s="24" t="s">
        <v>50</v>
      </c>
      <c r="B9" s="24"/>
      <c r="C9" s="1"/>
      <c r="D9" s="1"/>
    </row>
    <row r="11" spans="2:4" ht="12.75">
      <c r="B11" s="9" t="s">
        <v>67</v>
      </c>
      <c r="C11" s="9" t="s">
        <v>68</v>
      </c>
      <c r="D11" s="9" t="s">
        <v>47</v>
      </c>
    </row>
    <row r="12" spans="1:4" ht="12.75">
      <c r="A12" s="5" t="s">
        <v>67</v>
      </c>
      <c r="B12" s="14">
        <v>1</v>
      </c>
      <c r="C12" s="6">
        <f>B12/4184</f>
        <v>0.0002390057361376673</v>
      </c>
      <c r="D12" s="6">
        <f>B12/4184</f>
        <v>0.0002390057361376673</v>
      </c>
    </row>
    <row r="13" spans="1:4" ht="12.75">
      <c r="A13" s="5" t="s">
        <v>68</v>
      </c>
      <c r="B13" s="6">
        <f>C13*4184</f>
        <v>4184</v>
      </c>
      <c r="C13" s="14">
        <v>1</v>
      </c>
      <c r="D13" s="6">
        <v>1</v>
      </c>
    </row>
    <row r="14" spans="1:4" ht="12.75">
      <c r="A14" s="5" t="s">
        <v>47</v>
      </c>
      <c r="B14" s="6">
        <f>+D14*4184</f>
        <v>4184</v>
      </c>
      <c r="C14" s="6">
        <v>1</v>
      </c>
      <c r="D14" s="14">
        <v>1</v>
      </c>
    </row>
    <row r="17" spans="1:4" ht="12.75">
      <c r="A17" s="1" t="s">
        <v>57</v>
      </c>
      <c r="B17" s="1"/>
      <c r="C17" s="1"/>
      <c r="D17" s="1"/>
    </row>
    <row r="19" spans="2:7" ht="12.75">
      <c r="B19" s="9" t="s">
        <v>65</v>
      </c>
      <c r="C19" s="9" t="s">
        <v>66</v>
      </c>
      <c r="D19" s="9" t="s">
        <v>17</v>
      </c>
      <c r="E19" s="9" t="s">
        <v>18</v>
      </c>
      <c r="F19" s="9" t="s">
        <v>19</v>
      </c>
      <c r="G19" s="9" t="s">
        <v>20</v>
      </c>
    </row>
    <row r="20" spans="1:7" ht="12.75">
      <c r="A20" s="5" t="s">
        <v>65</v>
      </c>
      <c r="B20" s="14">
        <v>1</v>
      </c>
      <c r="C20" s="13">
        <f>B20/3600</f>
        <v>0.0002777777777777778</v>
      </c>
      <c r="D20" s="6">
        <f>B20*1000</f>
        <v>1000</v>
      </c>
      <c r="E20" s="6">
        <f>B20*1000/3600</f>
        <v>0.2777777777777778</v>
      </c>
      <c r="F20" s="12">
        <f>B20*2.2046244202</f>
        <v>2.2046244202</v>
      </c>
      <c r="G20" s="13">
        <f>B20*2.2046244202/3600</f>
        <v>0.0006123956722777778</v>
      </c>
    </row>
    <row r="21" spans="1:7" ht="12.75">
      <c r="A21" s="5" t="s">
        <v>66</v>
      </c>
      <c r="B21" s="6">
        <f>C21*3600</f>
        <v>3600</v>
      </c>
      <c r="C21" s="14">
        <v>1</v>
      </c>
      <c r="D21" s="6">
        <f>C21*1000*3600</f>
        <v>3600000</v>
      </c>
      <c r="E21" s="6">
        <f>C21*1000</f>
        <v>1000</v>
      </c>
      <c r="F21" s="6">
        <f>C21*7936.6479125</f>
        <v>7936.6479125</v>
      </c>
      <c r="G21" s="13">
        <f>C21*2.2046244202</f>
        <v>2.2046244202</v>
      </c>
    </row>
    <row r="22" spans="1:7" ht="12.75">
      <c r="A22" s="5" t="s">
        <v>17</v>
      </c>
      <c r="B22" s="6">
        <f>D22/1000</f>
        <v>0.001</v>
      </c>
      <c r="C22" s="13">
        <f>D22/3600000</f>
        <v>2.7777777777777776E-07</v>
      </c>
      <c r="D22" s="14">
        <v>1</v>
      </c>
      <c r="E22" s="6">
        <f>D22/3600</f>
        <v>0.0002777777777777778</v>
      </c>
      <c r="F22" s="6">
        <f>D22/1000*2.2046244202</f>
        <v>0.0022046244202</v>
      </c>
      <c r="G22" s="13">
        <f>D22*2.2046244202/3600/1000</f>
        <v>6.123956722777778E-07</v>
      </c>
    </row>
    <row r="23" spans="1:7" ht="12.75">
      <c r="A23" s="5" t="s">
        <v>18</v>
      </c>
      <c r="B23" s="6">
        <f>E23/1000*3600</f>
        <v>3.6</v>
      </c>
      <c r="C23" s="6">
        <f>E23/1000</f>
        <v>0.001</v>
      </c>
      <c r="D23" s="6">
        <f>E23*3600</f>
        <v>3600</v>
      </c>
      <c r="E23" s="14">
        <v>1</v>
      </c>
      <c r="F23" s="6">
        <f>E23*7.9366479125</f>
        <v>7.9366479125</v>
      </c>
      <c r="G23" s="13">
        <f>E23*2.2046244202/1000</f>
        <v>0.0022046244202</v>
      </c>
    </row>
    <row r="24" spans="1:7" ht="12.75">
      <c r="A24" s="5" t="s">
        <v>19</v>
      </c>
      <c r="B24" s="15">
        <f>F24*0.453592</f>
        <v>0.453592</v>
      </c>
      <c r="C24" s="13">
        <f>F24*0.00012599777778</f>
        <v>0.00012599777778</v>
      </c>
      <c r="D24" s="6">
        <f>F24*453.592</f>
        <v>453.592</v>
      </c>
      <c r="E24" s="6">
        <f>F24*0.12599777778</f>
        <v>0.12599777778</v>
      </c>
      <c r="F24" s="14">
        <v>1</v>
      </c>
      <c r="G24" s="6">
        <f>F24/3600</f>
        <v>0.0002777777777777778</v>
      </c>
    </row>
    <row r="25" spans="1:7" ht="12.75">
      <c r="A25" s="5" t="s">
        <v>20</v>
      </c>
      <c r="B25" s="6">
        <f>G25*1632.9312</f>
        <v>1632.9312</v>
      </c>
      <c r="C25" s="6">
        <f>G25*0.453592</f>
        <v>0.453592</v>
      </c>
      <c r="D25" s="6">
        <f>G25*1632931.2</f>
        <v>1632931.2</v>
      </c>
      <c r="E25" s="6">
        <f>G25*453.592</f>
        <v>453.592</v>
      </c>
      <c r="F25" s="6">
        <f>G25*3600</f>
        <v>3600</v>
      </c>
      <c r="G25" s="14">
        <v>1</v>
      </c>
    </row>
    <row r="28" spans="1:4" ht="12.75">
      <c r="A28" s="1" t="s">
        <v>58</v>
      </c>
      <c r="B28" s="1"/>
      <c r="C28" s="1"/>
      <c r="D28" s="1"/>
    </row>
    <row r="30" spans="2:11" ht="14.25">
      <c r="B30" s="9" t="s">
        <v>69</v>
      </c>
      <c r="C30" s="9" t="s">
        <v>70</v>
      </c>
      <c r="D30" s="9" t="s">
        <v>48</v>
      </c>
      <c r="E30" s="9" t="s">
        <v>49</v>
      </c>
      <c r="F30" s="9" t="s">
        <v>71</v>
      </c>
      <c r="G30" s="9" t="s">
        <v>72</v>
      </c>
      <c r="H30" s="9" t="s">
        <v>73</v>
      </c>
      <c r="I30" s="9" t="s">
        <v>106</v>
      </c>
      <c r="J30" s="9" t="s">
        <v>31</v>
      </c>
      <c r="K30" s="9" t="s">
        <v>32</v>
      </c>
    </row>
    <row r="31" spans="1:11" ht="14.25">
      <c r="A31" s="5" t="s">
        <v>69</v>
      </c>
      <c r="B31" s="14">
        <v>1</v>
      </c>
      <c r="C31" s="6">
        <f>B31*3600</f>
        <v>3600</v>
      </c>
      <c r="D31" s="13">
        <f>B31*7.4805195883</f>
        <v>7.4805195883</v>
      </c>
      <c r="E31" s="6">
        <f>B31*7.4805195883*3600</f>
        <v>26929.87051788</v>
      </c>
      <c r="F31" s="13">
        <f>B31*0.028316847</f>
        <v>0.028316847</v>
      </c>
      <c r="G31" s="6">
        <f>B31*101.9406492</f>
        <v>101.9406492</v>
      </c>
      <c r="H31" s="18">
        <f>B31*28316.847</f>
        <v>28316.847</v>
      </c>
      <c r="I31" s="6">
        <f>+B31*101940649.2</f>
        <v>101940649.2</v>
      </c>
      <c r="J31" s="16">
        <f>B31*28.316847</f>
        <v>28.316847</v>
      </c>
      <c r="K31" s="6">
        <f>B31*101940.6492</f>
        <v>101940.6492</v>
      </c>
    </row>
    <row r="32" spans="1:11" ht="14.25">
      <c r="A32" s="5" t="s">
        <v>70</v>
      </c>
      <c r="B32" s="6">
        <f>C32/3600</f>
        <v>0.0002777777777777778</v>
      </c>
      <c r="C32" s="14">
        <v>1</v>
      </c>
      <c r="D32" s="13">
        <f>C32*7.4805195883/3600</f>
        <v>0.002077922107861111</v>
      </c>
      <c r="E32" s="6">
        <f>C32*7.4805195883</f>
        <v>7.4805195883</v>
      </c>
      <c r="F32" s="13">
        <f>+C32*0.0000078657908333</f>
        <v>7.8657908333E-06</v>
      </c>
      <c r="G32" s="6">
        <f>C32*0.028316847</f>
        <v>0.028316847</v>
      </c>
      <c r="H32" s="6">
        <f>C32*7.8657908333</f>
        <v>7.8657908333</v>
      </c>
      <c r="I32" s="6">
        <f>C32*28316847</f>
        <v>28316847</v>
      </c>
      <c r="J32" s="12">
        <f>C32*28.316847/3600</f>
        <v>0.007865790833333334</v>
      </c>
      <c r="K32" s="15">
        <f>C32*28.316847</f>
        <v>28.316847</v>
      </c>
    </row>
    <row r="33" spans="1:11" ht="12.75">
      <c r="A33" s="5" t="s">
        <v>48</v>
      </c>
      <c r="B33" s="6">
        <f>D33*0.1337</f>
        <v>0.1337</v>
      </c>
      <c r="C33" s="16">
        <f>D33*481.24999307</f>
        <v>481.24999307</v>
      </c>
      <c r="D33" s="14">
        <v>1</v>
      </c>
      <c r="E33" s="6">
        <f>D33*3600</f>
        <v>3600</v>
      </c>
      <c r="F33" s="13">
        <f>D33*0.003785411784</f>
        <v>0.003785411784</v>
      </c>
      <c r="G33" s="6">
        <f>D33*13.627482422</f>
        <v>13.627482422</v>
      </c>
      <c r="H33" s="6">
        <f>D33*3785.411784</f>
        <v>3785.411784</v>
      </c>
      <c r="I33" s="6">
        <f>D33*13627482.422</f>
        <v>13627482.422</v>
      </c>
      <c r="J33" s="12">
        <f>D33*3.785411784</f>
        <v>3.785411784</v>
      </c>
      <c r="K33" s="6">
        <f>D33*13627.482422</f>
        <v>13627.482422</v>
      </c>
    </row>
    <row r="34" spans="1:11" ht="12.75">
      <c r="A34" s="5" t="s">
        <v>49</v>
      </c>
      <c r="B34" s="13">
        <f>E34*0.000037133487118</f>
        <v>3.7133487118E-05</v>
      </c>
      <c r="C34" s="13">
        <f>E34*0.13368055363</f>
        <v>0.13368055363</v>
      </c>
      <c r="D34" s="13">
        <f>E34/3600</f>
        <v>0.0002777777777777778</v>
      </c>
      <c r="E34" s="14">
        <v>1</v>
      </c>
      <c r="F34" s="13">
        <f>+E34*0.0000010515032733</f>
        <v>1.0515032733E-06</v>
      </c>
      <c r="G34" s="6">
        <f>E34*0.0037854117838</f>
        <v>0.0037854117838</v>
      </c>
      <c r="H34" s="6">
        <f>E34*1.0515032733</f>
        <v>1.0515032733</v>
      </c>
      <c r="I34" s="6">
        <f>E34*3785.4117838</f>
        <v>3785.4117838</v>
      </c>
      <c r="J34" s="12">
        <f>E34*0.0010515032733</f>
        <v>0.0010515032733</v>
      </c>
      <c r="K34" s="6">
        <f>E34*3.7854117838</f>
        <v>3.7854117838</v>
      </c>
    </row>
    <row r="35" spans="1:11" ht="14.25">
      <c r="A35" s="5" t="s">
        <v>71</v>
      </c>
      <c r="B35" s="12">
        <f>F35/0.028316</f>
        <v>35.31572255968357</v>
      </c>
      <c r="C35" s="17">
        <f>+F35*127132.79837</f>
        <v>127132.79837</v>
      </c>
      <c r="D35" s="16">
        <f>F35*264.17205236</f>
        <v>264.17205236</v>
      </c>
      <c r="E35" s="6">
        <f>+F35*951019.38852</f>
        <v>951019.38852</v>
      </c>
      <c r="F35" s="14">
        <v>1</v>
      </c>
      <c r="G35" s="6">
        <f>F35*3600</f>
        <v>3600</v>
      </c>
      <c r="H35" s="6">
        <f>F35*1000000</f>
        <v>1000000</v>
      </c>
      <c r="I35" s="6">
        <f>F35*1000000*3600</f>
        <v>3600000000</v>
      </c>
      <c r="J35" s="6">
        <f>F35*1000</f>
        <v>1000</v>
      </c>
      <c r="K35" s="6">
        <f>F35*1000*3600</f>
        <v>3600000</v>
      </c>
    </row>
    <row r="36" spans="1:11" ht="14.25">
      <c r="A36" s="5" t="s">
        <v>72</v>
      </c>
      <c r="B36" s="13">
        <f>G36/11.9376</f>
        <v>0.08376893177858197</v>
      </c>
      <c r="C36" s="12">
        <f>G36*35.314666213</f>
        <v>35.314666213</v>
      </c>
      <c r="D36" s="13">
        <f>G36*0.073381125656</f>
        <v>0.073381125656</v>
      </c>
      <c r="E36" s="6">
        <f>G36*264.17205237</f>
        <v>264.17205237</v>
      </c>
      <c r="F36" s="13">
        <f>G36/3600</f>
        <v>0.0002777777777777778</v>
      </c>
      <c r="G36" s="14">
        <v>1</v>
      </c>
      <c r="H36" s="6">
        <f>G36*1000000/3600</f>
        <v>277.77777777777777</v>
      </c>
      <c r="I36" s="6">
        <f>+G36*1000000</f>
        <v>1000000</v>
      </c>
      <c r="J36" s="6">
        <f>G36*1000/3600</f>
        <v>0.2777777777777778</v>
      </c>
      <c r="K36" s="6">
        <f>G36*1000</f>
        <v>1000</v>
      </c>
    </row>
    <row r="37" spans="1:11" ht="14.25">
      <c r="A37" s="5" t="s">
        <v>73</v>
      </c>
      <c r="B37" s="13">
        <f>H37*0.000035314666213</f>
        <v>3.5314666213E-05</v>
      </c>
      <c r="C37" s="13">
        <f>+H37*0.12713279837</f>
        <v>0.12713279837</v>
      </c>
      <c r="D37" s="13">
        <f>H37*0.00026417205236</f>
        <v>0.00026417205236</v>
      </c>
      <c r="E37" s="6">
        <f>+H37*0.95101938852</f>
        <v>0.95101938852</v>
      </c>
      <c r="F37" s="13">
        <f>H37*0.000001</f>
        <v>1E-06</v>
      </c>
      <c r="G37" s="6">
        <f>H37*0.000001*3600</f>
        <v>0.0036</v>
      </c>
      <c r="H37" s="14">
        <v>1</v>
      </c>
      <c r="I37" s="6">
        <f>H37*3600</f>
        <v>3600</v>
      </c>
      <c r="J37" s="6">
        <f>H37*0.001</f>
        <v>0.001</v>
      </c>
      <c r="K37" s="6">
        <f>H37*0.001*3600</f>
        <v>3.6</v>
      </c>
    </row>
    <row r="38" spans="1:11" ht="14.25">
      <c r="A38" s="10" t="s">
        <v>106</v>
      </c>
      <c r="B38" s="13">
        <f>I38*0.0000353/3600</f>
        <v>9.805555555555555E-09</v>
      </c>
      <c r="C38" s="13">
        <f>I38*0.000035314666213</f>
        <v>3.5314666213E-05</v>
      </c>
      <c r="D38" s="13">
        <f>I38*0.00026417205237/3600</f>
        <v>7.338112565833333E-08</v>
      </c>
      <c r="E38" s="6">
        <f>I38*0.00026417205237</f>
        <v>0.00026417205237</v>
      </c>
      <c r="F38" s="13">
        <f>I38*0.000001/3600</f>
        <v>2.7777777777777777E-10</v>
      </c>
      <c r="G38" s="6">
        <f>I38*0.000001</f>
        <v>1E-06</v>
      </c>
      <c r="H38" s="6">
        <f>I38/3600</f>
        <v>0.0002777777777777778</v>
      </c>
      <c r="I38" s="14">
        <v>1</v>
      </c>
      <c r="J38" s="12">
        <f>I38*0.001/3600</f>
        <v>2.7777777777777776E-07</v>
      </c>
      <c r="K38" s="6">
        <f>I38*0.001</f>
        <v>0.001</v>
      </c>
    </row>
    <row r="39" spans="1:11" ht="12.75">
      <c r="A39" s="10" t="s">
        <v>31</v>
      </c>
      <c r="B39" s="13">
        <f>J39*0.035314666213</f>
        <v>0.035314666213</v>
      </c>
      <c r="C39" s="16">
        <f>+J39*127.13279837</f>
        <v>127.13279837</v>
      </c>
      <c r="D39" s="13">
        <f>J39*0.26417205236</f>
        <v>0.26417205236</v>
      </c>
      <c r="E39" s="6">
        <f>+J39*951.01938852</f>
        <v>951.01938852</v>
      </c>
      <c r="F39" s="6">
        <f>J39*0.001</f>
        <v>0.001</v>
      </c>
      <c r="G39" s="6">
        <f>J39*0.001*3600</f>
        <v>3.6</v>
      </c>
      <c r="H39" s="6">
        <f>J39*1000</f>
        <v>1000</v>
      </c>
      <c r="I39" s="6">
        <f>J39*1000*3600</f>
        <v>3600000</v>
      </c>
      <c r="J39" s="14">
        <v>1</v>
      </c>
      <c r="K39" s="8">
        <f>J39*3600</f>
        <v>3600</v>
      </c>
    </row>
    <row r="40" spans="1:11" ht="12.75">
      <c r="A40" s="10" t="s">
        <v>32</v>
      </c>
      <c r="B40" s="13">
        <f>K40*0.035314666213/3600</f>
        <v>9.80962950361111E-06</v>
      </c>
      <c r="C40" s="13">
        <f>K40*0.035314666213</f>
        <v>0.035314666213</v>
      </c>
      <c r="D40" s="13">
        <f>K40*0.000073381125656</f>
        <v>7.3381125656E-05</v>
      </c>
      <c r="E40" s="6">
        <f>K40*0.26417205237</f>
        <v>0.26417205237</v>
      </c>
      <c r="F40" s="13">
        <f>K40*0.001/3600</f>
        <v>2.7777777777777776E-07</v>
      </c>
      <c r="G40" s="6">
        <f>K40*0.001</f>
        <v>0.001</v>
      </c>
      <c r="H40" s="6">
        <f>K40*1000/3600</f>
        <v>0.2777777777777778</v>
      </c>
      <c r="I40" s="6">
        <f>K40*1000</f>
        <v>1000</v>
      </c>
      <c r="J40" s="8">
        <f>K40/3600</f>
        <v>0.0002777777777777778</v>
      </c>
      <c r="K40" s="14">
        <v>1</v>
      </c>
    </row>
    <row r="43" spans="1:5" ht="12.75">
      <c r="A43" s="24" t="s">
        <v>51</v>
      </c>
      <c r="B43" s="24"/>
      <c r="C43" s="24"/>
      <c r="D43" s="24"/>
      <c r="E43" s="2"/>
    </row>
    <row r="45" spans="2:6" ht="14.25">
      <c r="B45" s="9" t="s">
        <v>74</v>
      </c>
      <c r="C45" s="9" t="s">
        <v>75</v>
      </c>
      <c r="D45" s="9" t="s">
        <v>76</v>
      </c>
      <c r="E45" s="9" t="s">
        <v>77</v>
      </c>
      <c r="F45" s="9" t="s">
        <v>78</v>
      </c>
    </row>
    <row r="46" spans="1:6" ht="14.25">
      <c r="A46" s="5" t="s">
        <v>74</v>
      </c>
      <c r="B46" s="14">
        <v>1</v>
      </c>
      <c r="C46" s="6">
        <f>B46*0.176110184</f>
        <v>0.176110184</v>
      </c>
      <c r="D46" s="21">
        <f>B46*0.000023885</f>
        <v>2.3885E-05</v>
      </c>
      <c r="E46" s="6">
        <f>B46*0.0001</f>
        <v>0.0001</v>
      </c>
      <c r="F46" s="6">
        <f>B46*0.86</f>
        <v>0.86</v>
      </c>
    </row>
    <row r="47" spans="1:6" ht="14.25">
      <c r="A47" s="5" t="s">
        <v>75</v>
      </c>
      <c r="B47" s="6">
        <f>C47*5.678263341</f>
        <v>5.678263341</v>
      </c>
      <c r="C47" s="14">
        <v>1</v>
      </c>
      <c r="D47" s="13">
        <f>C47*0.000135623</f>
        <v>0.000135623</v>
      </c>
      <c r="E47" s="8">
        <f>C47*0.0005678263341</f>
        <v>0.0005678263341</v>
      </c>
      <c r="F47" s="8">
        <f>C47*4.882427636</f>
        <v>4.882427636</v>
      </c>
    </row>
    <row r="48" spans="1:6" ht="14.25">
      <c r="A48" s="5" t="s">
        <v>76</v>
      </c>
      <c r="B48" s="6">
        <f>D48*41868.00000482</f>
        <v>41868.00000482</v>
      </c>
      <c r="C48" s="8">
        <f>D48*7373</f>
        <v>7373</v>
      </c>
      <c r="D48" s="14">
        <v>1</v>
      </c>
      <c r="E48" s="8">
        <f>D48*4.187</f>
        <v>4.187</v>
      </c>
      <c r="F48" s="8">
        <f>D48*36000</f>
        <v>36000</v>
      </c>
    </row>
    <row r="49" spans="1:6" ht="14.25">
      <c r="A49" s="5" t="s">
        <v>77</v>
      </c>
      <c r="B49" s="6">
        <f>E49*10000</f>
        <v>10000</v>
      </c>
      <c r="C49" s="22">
        <f>E49*1761.10184</f>
        <v>1761.10184</v>
      </c>
      <c r="D49" s="6">
        <f>E49*0.23885</f>
        <v>0.23885</v>
      </c>
      <c r="E49" s="14">
        <v>1</v>
      </c>
      <c r="F49" s="8">
        <f>E49*8600</f>
        <v>8600</v>
      </c>
    </row>
    <row r="50" spans="1:6" ht="14.25">
      <c r="A50" s="5" t="s">
        <v>78</v>
      </c>
      <c r="B50" s="6">
        <f>F50*1.163</f>
        <v>1.163</v>
      </c>
      <c r="C50" s="8">
        <f>F50*0.204816144</f>
        <v>0.204816144</v>
      </c>
      <c r="D50" s="13">
        <f>F50/36000</f>
        <v>2.777777777777778E-05</v>
      </c>
      <c r="E50" s="8">
        <f>F50*0.0001163</f>
        <v>0.0001163</v>
      </c>
      <c r="F50" s="14">
        <v>1</v>
      </c>
    </row>
    <row r="53" spans="1:4" ht="12.75">
      <c r="A53" s="1" t="s">
        <v>59</v>
      </c>
      <c r="B53" s="4"/>
      <c r="C53" s="1"/>
      <c r="D53" s="1"/>
    </row>
    <row r="54" ht="12.75">
      <c r="E54" s="3"/>
    </row>
    <row r="55" spans="2:6" ht="14.25">
      <c r="B55" s="29" t="s">
        <v>79</v>
      </c>
      <c r="C55" s="29" t="s">
        <v>80</v>
      </c>
      <c r="D55" s="29" t="s">
        <v>81</v>
      </c>
      <c r="E55" s="29" t="s">
        <v>82</v>
      </c>
      <c r="F55" s="29" t="s">
        <v>83</v>
      </c>
    </row>
    <row r="56" spans="1:6" ht="14.25">
      <c r="A56" s="10" t="s">
        <v>79</v>
      </c>
      <c r="B56" s="14">
        <v>1</v>
      </c>
      <c r="C56" s="6">
        <f>B56*0.578175982</f>
        <v>0.578175982</v>
      </c>
      <c r="D56" s="6">
        <f>B56*0.002390057</f>
        <v>0.002390057</v>
      </c>
      <c r="E56" s="6">
        <f>B56*0.01</f>
        <v>0.01</v>
      </c>
      <c r="F56" s="6">
        <f>B56*0.86042065</f>
        <v>0.86042065</v>
      </c>
    </row>
    <row r="57" spans="1:6" ht="14.25">
      <c r="A57" s="10" t="s">
        <v>80</v>
      </c>
      <c r="B57" s="6">
        <f>C57*1.729577206</f>
        <v>1.729577206</v>
      </c>
      <c r="C57" s="14">
        <v>1</v>
      </c>
      <c r="D57" s="6">
        <f>C57*0.004133789</f>
        <v>0.004133789</v>
      </c>
      <c r="E57" s="6">
        <f>C57*0.01729577206</f>
        <v>0.01729577206</v>
      </c>
      <c r="F57" s="6">
        <f>C57*1.488163944</f>
        <v>1.488163944</v>
      </c>
    </row>
    <row r="58" spans="1:6" ht="14.25">
      <c r="A58" s="10" t="s">
        <v>81</v>
      </c>
      <c r="B58" s="6">
        <f>D58*418.399999999</f>
        <v>418.399999999</v>
      </c>
      <c r="C58" s="6">
        <f>D58*241.90883105</f>
        <v>241.90883105</v>
      </c>
      <c r="D58" s="14">
        <v>1</v>
      </c>
      <c r="E58" s="6">
        <f>D58*4.184</f>
        <v>4.184</v>
      </c>
      <c r="F58" s="6">
        <f>D58*360</f>
        <v>360</v>
      </c>
    </row>
    <row r="59" spans="1:6" ht="14.25">
      <c r="A59" s="10" t="s">
        <v>82</v>
      </c>
      <c r="B59" s="6">
        <f>E59*100</f>
        <v>100</v>
      </c>
      <c r="C59" s="16">
        <f>E59*57.8175982</f>
        <v>57.8175982</v>
      </c>
      <c r="D59" s="12">
        <f>E59*0.2390057</f>
        <v>0.2390057</v>
      </c>
      <c r="E59" s="14">
        <v>1</v>
      </c>
      <c r="F59" s="6">
        <f>E59*86.042065</f>
        <v>86.042065</v>
      </c>
    </row>
    <row r="60" spans="1:6" ht="14.25">
      <c r="A60" s="10" t="s">
        <v>83</v>
      </c>
      <c r="B60" s="6">
        <f>F60*1.162222222</f>
        <v>1.162222222</v>
      </c>
      <c r="C60" s="6">
        <f>F60*0.671968975</f>
        <v>0.671968975</v>
      </c>
      <c r="D60" s="12">
        <f>F60*0.0027777778</f>
        <v>0.0027777778</v>
      </c>
      <c r="E60" s="6">
        <f>F60*0.011622222</f>
        <v>0.011622222</v>
      </c>
      <c r="F60" s="14">
        <v>1</v>
      </c>
    </row>
    <row r="61" ht="12.75">
      <c r="A61" s="3"/>
    </row>
    <row r="63" spans="1:4" ht="12.75">
      <c r="A63" s="1" t="s">
        <v>16</v>
      </c>
      <c r="B63" s="1"/>
      <c r="C63" s="1"/>
      <c r="D63" s="1"/>
    </row>
    <row r="65" spans="2:5" ht="14.25">
      <c r="B65" s="9" t="s">
        <v>84</v>
      </c>
      <c r="C65" s="9" t="s">
        <v>85</v>
      </c>
      <c r="D65" s="9" t="s">
        <v>86</v>
      </c>
      <c r="E65" s="9" t="s">
        <v>87</v>
      </c>
    </row>
    <row r="66" spans="1:5" ht="14.25">
      <c r="A66" s="10" t="s">
        <v>84</v>
      </c>
      <c r="B66" s="14">
        <v>1</v>
      </c>
      <c r="C66" s="6">
        <f>B66/16.018463306</f>
        <v>0.06242796084100228</v>
      </c>
      <c r="D66" s="20">
        <f>B66/1000*0.03612717</f>
        <v>3.612717E-05</v>
      </c>
      <c r="E66" s="6">
        <f>B66/1000</f>
        <v>0.001</v>
      </c>
    </row>
    <row r="67" spans="1:5" ht="14.25">
      <c r="A67" s="10" t="s">
        <v>85</v>
      </c>
      <c r="B67" s="6">
        <f>C67*16.018463306</f>
        <v>16.018463306</v>
      </c>
      <c r="C67" s="14">
        <v>1</v>
      </c>
      <c r="D67" s="20">
        <f>C67/1728</f>
        <v>0.0005787037037037037</v>
      </c>
      <c r="E67" s="6">
        <f>C67*0.016018463306</f>
        <v>0.016018463306</v>
      </c>
    </row>
    <row r="68" spans="1:5" ht="14.25">
      <c r="A68" s="10" t="s">
        <v>86</v>
      </c>
      <c r="B68" s="6">
        <f>D68*27679.904593</f>
        <v>27679.904593</v>
      </c>
      <c r="C68" s="6">
        <f>D68*1728</f>
        <v>1728</v>
      </c>
      <c r="D68" s="14">
        <v>1</v>
      </c>
      <c r="E68" s="6">
        <f>D68*27.679904593</f>
        <v>27.679904593</v>
      </c>
    </row>
    <row r="69" spans="1:5" ht="14.25">
      <c r="A69" s="10" t="s">
        <v>87</v>
      </c>
      <c r="B69" s="6">
        <f>E69*1000</f>
        <v>1000</v>
      </c>
      <c r="C69" s="6">
        <f>E69*62.427960841</f>
        <v>62.427960841</v>
      </c>
      <c r="D69" s="6">
        <f>E69*0.036127292153</f>
        <v>0.036127292153</v>
      </c>
      <c r="E69" s="14">
        <v>1</v>
      </c>
    </row>
    <row r="72" spans="1:4" ht="12.75">
      <c r="A72" s="1" t="s">
        <v>56</v>
      </c>
      <c r="B72" s="1"/>
      <c r="C72" s="1"/>
      <c r="D72" s="1"/>
    </row>
    <row r="74" spans="2:7" ht="12.75">
      <c r="B74" s="30" t="s">
        <v>107</v>
      </c>
      <c r="C74" s="30" t="s">
        <v>88</v>
      </c>
      <c r="D74" s="30" t="s">
        <v>24</v>
      </c>
      <c r="E74" s="30" t="s">
        <v>25</v>
      </c>
      <c r="F74" s="30" t="s">
        <v>26</v>
      </c>
      <c r="G74" s="30" t="s">
        <v>27</v>
      </c>
    </row>
    <row r="75" spans="1:9" ht="12.75">
      <c r="A75" s="31" t="s">
        <v>107</v>
      </c>
      <c r="B75" s="14">
        <v>1</v>
      </c>
      <c r="C75" s="12">
        <f>B75/B76</f>
        <v>2.7777777777777776E-07</v>
      </c>
      <c r="D75" s="6">
        <f>+B75/4184</f>
        <v>0.0002390057361376673</v>
      </c>
      <c r="E75" s="6">
        <f>B75*0.00023900573614*1000</f>
        <v>0.23900573614</v>
      </c>
      <c r="F75" s="6">
        <f>B75*0.00094781707775</f>
        <v>0.00094781707775</v>
      </c>
      <c r="G75" s="12">
        <f>B75*0.00000037250614123</f>
        <v>3.7250614123E-07</v>
      </c>
      <c r="I75" s="2"/>
    </row>
    <row r="76" spans="1:7" ht="12.75">
      <c r="A76" s="7" t="s">
        <v>88</v>
      </c>
      <c r="B76" s="6">
        <f>C76*3600000</f>
        <v>3600000</v>
      </c>
      <c r="C76" s="14">
        <v>1</v>
      </c>
      <c r="D76" s="6">
        <f>C76*860.4</f>
        <v>860.4</v>
      </c>
      <c r="E76" s="6">
        <f>C76*860.4206501*1000</f>
        <v>860420.6501</v>
      </c>
      <c r="F76" s="6">
        <f>C76*3412.1414799</f>
        <v>3412.1414799</v>
      </c>
      <c r="G76" s="6">
        <f>C76*1.3410221084</f>
        <v>1.3410221084</v>
      </c>
    </row>
    <row r="77" spans="1:7" ht="12.75">
      <c r="A77" s="7" t="s">
        <v>24</v>
      </c>
      <c r="B77" s="6">
        <f>D77*4184</f>
        <v>4184</v>
      </c>
      <c r="C77" s="12">
        <f>D77*0.0011622</f>
        <v>0.0011622</v>
      </c>
      <c r="D77" s="14">
        <v>1</v>
      </c>
      <c r="E77" s="6">
        <f>D77*1000</f>
        <v>1000</v>
      </c>
      <c r="F77" s="6">
        <f>D77*3.9709762495</f>
        <v>3.9709762495</v>
      </c>
      <c r="G77" s="6">
        <f>D77*0.0015596087121</f>
        <v>0.0015596087121</v>
      </c>
    </row>
    <row r="78" spans="1:7" ht="12.75">
      <c r="A78" s="7" t="s">
        <v>25</v>
      </c>
      <c r="B78" s="6">
        <f>E78/0.23901</f>
        <v>4.183925358771599</v>
      </c>
      <c r="C78" s="12">
        <f>E78/860400</f>
        <v>1.1622501162250117E-06</v>
      </c>
      <c r="D78" s="6">
        <f>E78/1000</f>
        <v>0.001</v>
      </c>
      <c r="E78" s="14">
        <v>1</v>
      </c>
      <c r="F78" s="6">
        <f>E78*3.9709762495/1000</f>
        <v>0.0039709762495</v>
      </c>
      <c r="G78" s="12">
        <f>E78*0.0000015596087121</f>
        <v>1.5596087121E-06</v>
      </c>
    </row>
    <row r="79" spans="1:7" ht="12.75">
      <c r="A79" s="7" t="s">
        <v>26</v>
      </c>
      <c r="B79" s="6">
        <f>F79*1055.0559</f>
        <v>1055.0559</v>
      </c>
      <c r="C79" s="6">
        <f>F79*0.000293</f>
        <v>0.000293</v>
      </c>
      <c r="D79" s="6">
        <f>F79*0.25219957696</f>
        <v>0.25219957696</v>
      </c>
      <c r="E79" s="6">
        <f>F79*252.19957696</f>
        <v>252.19957696</v>
      </c>
      <c r="F79" s="14">
        <v>1</v>
      </c>
      <c r="G79" s="6">
        <f>F79*0.00039275196176</f>
        <v>0.00039275196176</v>
      </c>
    </row>
    <row r="80" spans="1:7" ht="12.75">
      <c r="A80" s="7" t="s">
        <v>27</v>
      </c>
      <c r="B80" s="6">
        <f>G80*2684519.5</f>
        <v>2684519.5</v>
      </c>
      <c r="C80" s="6">
        <f>G80*0.74569986111</f>
        <v>0.74569986111</v>
      </c>
      <c r="D80" s="6">
        <f>G80*641.61555927</f>
        <v>641.61555927</v>
      </c>
      <c r="E80" s="6">
        <f>G80*641615.55927</f>
        <v>641615.55927</v>
      </c>
      <c r="F80" s="6">
        <f>G80*2546.136232</f>
        <v>2546.136232</v>
      </c>
      <c r="G80" s="14">
        <v>1</v>
      </c>
    </row>
    <row r="83" spans="1:4" ht="12.75">
      <c r="A83" s="24" t="s">
        <v>55</v>
      </c>
      <c r="B83" s="24"/>
      <c r="C83" s="24"/>
      <c r="D83" s="24"/>
    </row>
    <row r="85" spans="2:4" ht="12.75">
      <c r="B85" s="9" t="s">
        <v>52</v>
      </c>
      <c r="C85" s="9" t="s">
        <v>53</v>
      </c>
      <c r="D85" s="9" t="s">
        <v>54</v>
      </c>
    </row>
    <row r="86" spans="1:4" ht="12.75">
      <c r="A86" s="5" t="s">
        <v>52</v>
      </c>
      <c r="B86" s="14">
        <v>1</v>
      </c>
      <c r="C86" s="6">
        <f>1/1.8</f>
        <v>0.5555555555555556</v>
      </c>
      <c r="D86" s="6">
        <f>B86/0.43002</f>
        <v>2.325473233803079</v>
      </c>
    </row>
    <row r="87" spans="1:4" ht="12.75">
      <c r="A87" s="5" t="s">
        <v>53</v>
      </c>
      <c r="B87" s="6">
        <f>C87*1.8</f>
        <v>1.8</v>
      </c>
      <c r="C87" s="14">
        <v>1</v>
      </c>
      <c r="D87" s="6">
        <f>+C87*4.18585182084554</f>
        <v>4.18585182084554</v>
      </c>
    </row>
    <row r="88" spans="1:4" ht="12.75">
      <c r="A88" s="5" t="s">
        <v>54</v>
      </c>
      <c r="B88" s="6">
        <f>+D88*0.43002</f>
        <v>0.43002</v>
      </c>
      <c r="C88" s="6">
        <f>D88*0.2389</f>
        <v>0.2389</v>
      </c>
      <c r="D88" s="14">
        <v>1</v>
      </c>
    </row>
    <row r="91" spans="1:4" ht="12.75">
      <c r="A91" s="1" t="s">
        <v>15</v>
      </c>
      <c r="B91" s="1"/>
      <c r="C91" s="1"/>
      <c r="D91" s="1"/>
    </row>
    <row r="93" spans="2:4" ht="12.75">
      <c r="B93" s="9" t="s">
        <v>28</v>
      </c>
      <c r="C93" s="9" t="s">
        <v>29</v>
      </c>
      <c r="D93" s="9" t="s">
        <v>30</v>
      </c>
    </row>
    <row r="94" spans="1:4" ht="12.75">
      <c r="A94" s="5" t="s">
        <v>28</v>
      </c>
      <c r="B94" s="14">
        <v>1</v>
      </c>
      <c r="C94" s="6">
        <f>B94*0.1019716213</f>
        <v>0.1019716213</v>
      </c>
      <c r="D94" s="6">
        <f>B94*0.22480894387</f>
        <v>0.22480894387</v>
      </c>
    </row>
    <row r="95" spans="1:4" ht="12.75">
      <c r="A95" s="5" t="s">
        <v>29</v>
      </c>
      <c r="B95" s="6">
        <f>C95/0.1019716213</f>
        <v>9.806649999787735</v>
      </c>
      <c r="C95" s="14">
        <v>1</v>
      </c>
      <c r="D95" s="6">
        <f>C95*2.2046226294</f>
        <v>2.2046226294</v>
      </c>
    </row>
    <row r="96" spans="1:4" ht="12.75">
      <c r="A96" s="5" t="s">
        <v>30</v>
      </c>
      <c r="B96" s="6">
        <f>D96/0.22480894387</f>
        <v>4.448221600019031</v>
      </c>
      <c r="C96" s="6">
        <f>D96/2.2046226294</f>
        <v>0.4535923684463655</v>
      </c>
      <c r="D96" s="14">
        <v>1</v>
      </c>
    </row>
    <row r="99" spans="1:4" ht="12.75">
      <c r="A99" s="1" t="s">
        <v>9</v>
      </c>
      <c r="B99" s="1"/>
      <c r="C99" s="1"/>
      <c r="D99" s="1"/>
    </row>
    <row r="101" spans="2:5" ht="12.75">
      <c r="B101" s="9" t="s">
        <v>10</v>
      </c>
      <c r="C101" s="9" t="s">
        <v>11</v>
      </c>
      <c r="D101" s="9" t="s">
        <v>39</v>
      </c>
      <c r="E101" s="9" t="s">
        <v>12</v>
      </c>
    </row>
    <row r="102" spans="1:5" ht="12.75">
      <c r="A102" s="5" t="s">
        <v>10</v>
      </c>
      <c r="B102" s="14">
        <v>1</v>
      </c>
      <c r="C102" s="6">
        <f>B102*39.37</f>
        <v>39.37</v>
      </c>
      <c r="D102" s="6">
        <f>B102*3.2808</f>
        <v>3.2808</v>
      </c>
      <c r="E102" s="6">
        <f>B102*0.0006214</f>
        <v>0.0006214</v>
      </c>
    </row>
    <row r="103" spans="1:5" ht="12.75">
      <c r="A103" s="5" t="s">
        <v>11</v>
      </c>
      <c r="B103" s="6">
        <f>C103*0.0254</f>
        <v>0.0254</v>
      </c>
      <c r="C103" s="14">
        <v>1</v>
      </c>
      <c r="D103" s="6">
        <f>C103*0.08333</f>
        <v>0.08333</v>
      </c>
      <c r="E103" s="6">
        <f>C103*0.0000158</f>
        <v>1.58E-05</v>
      </c>
    </row>
    <row r="104" spans="1:5" ht="12.75">
      <c r="A104" s="5" t="s">
        <v>39</v>
      </c>
      <c r="B104" s="6">
        <f>D104*0.3048</f>
        <v>0.3048</v>
      </c>
      <c r="C104" s="6">
        <f>D104*12</f>
        <v>12</v>
      </c>
      <c r="D104" s="14">
        <v>1</v>
      </c>
      <c r="E104" s="6">
        <f>D104*0.00018939</f>
        <v>0.00018939</v>
      </c>
    </row>
    <row r="105" spans="1:5" ht="12.75">
      <c r="A105" s="5" t="s">
        <v>12</v>
      </c>
      <c r="B105" s="6">
        <f>E105*1610</f>
        <v>1610</v>
      </c>
      <c r="C105" s="6">
        <f>E105*63360</f>
        <v>63360</v>
      </c>
      <c r="D105" s="6">
        <f>E105*5280</f>
        <v>5280</v>
      </c>
      <c r="E105" s="14">
        <v>1</v>
      </c>
    </row>
    <row r="106" ht="12.75">
      <c r="F106" s="2"/>
    </row>
    <row r="108" spans="1:4" ht="12.75">
      <c r="A108" s="1" t="s">
        <v>14</v>
      </c>
      <c r="B108" s="1"/>
      <c r="C108" s="1"/>
      <c r="D108" s="1"/>
    </row>
    <row r="110" spans="1:5" ht="12.75">
      <c r="A110" s="3"/>
      <c r="B110" s="9" t="s">
        <v>21</v>
      </c>
      <c r="C110" s="9" t="s">
        <v>22</v>
      </c>
      <c r="D110" s="9" t="s">
        <v>89</v>
      </c>
      <c r="E110" s="9" t="s">
        <v>23</v>
      </c>
    </row>
    <row r="111" spans="1:5" ht="12.75">
      <c r="A111" s="5" t="s">
        <v>21</v>
      </c>
      <c r="B111" s="14">
        <v>1</v>
      </c>
      <c r="C111" s="6">
        <f>B111*0.0625</f>
        <v>0.0625</v>
      </c>
      <c r="D111" s="6">
        <f>B111*28.349523125/1000</f>
        <v>0.028349523125</v>
      </c>
      <c r="E111" s="6">
        <f>B111*28.349523125</f>
        <v>28.349523125</v>
      </c>
    </row>
    <row r="112" spans="1:5" ht="12.75">
      <c r="A112" s="5" t="s">
        <v>22</v>
      </c>
      <c r="B112" s="6">
        <f>C112*16</f>
        <v>16</v>
      </c>
      <c r="C112" s="14">
        <v>1</v>
      </c>
      <c r="D112" s="6">
        <f>C112*453.59237/1000</f>
        <v>0.45359237</v>
      </c>
      <c r="E112" s="6">
        <f>C112*453.59237</f>
        <v>453.59237</v>
      </c>
    </row>
    <row r="113" spans="1:8" ht="12.75">
      <c r="A113" s="10" t="s">
        <v>89</v>
      </c>
      <c r="B113" s="6">
        <f>1/0.028349523125*D113</f>
        <v>35.27396194958041</v>
      </c>
      <c r="C113" s="6">
        <f>D113/0.4536</f>
        <v>2.204585537918871</v>
      </c>
      <c r="D113" s="14">
        <v>1</v>
      </c>
      <c r="E113" s="6">
        <f>D113*1000</f>
        <v>1000</v>
      </c>
      <c r="H113" s="3"/>
    </row>
    <row r="114" spans="1:5" ht="12.75">
      <c r="A114" s="5" t="s">
        <v>23</v>
      </c>
      <c r="B114" s="6">
        <f>1/E111*E114</f>
        <v>0.035273961949580414</v>
      </c>
      <c r="C114" s="6">
        <f>1/E112*E114</f>
        <v>0.002204622621848776</v>
      </c>
      <c r="D114" s="6">
        <f>E114/1000</f>
        <v>0.001</v>
      </c>
      <c r="E114" s="14">
        <v>1</v>
      </c>
    </row>
    <row r="117" spans="1:4" ht="12.75">
      <c r="A117" s="25" t="s">
        <v>60</v>
      </c>
      <c r="B117" s="25"/>
      <c r="C117" s="1"/>
      <c r="D117" s="1"/>
    </row>
    <row r="119" spans="2:5" ht="12.75">
      <c r="B119" s="9" t="s">
        <v>33</v>
      </c>
      <c r="C119" s="9" t="s">
        <v>34</v>
      </c>
      <c r="D119" s="9" t="s">
        <v>35</v>
      </c>
      <c r="E119" s="9" t="s">
        <v>36</v>
      </c>
    </row>
    <row r="120" spans="1:5" ht="12.75">
      <c r="A120" s="5" t="s">
        <v>33</v>
      </c>
      <c r="B120" s="14">
        <v>1</v>
      </c>
      <c r="C120" s="6">
        <f>B120/1.163</f>
        <v>0.8598452278589853</v>
      </c>
      <c r="D120" s="6">
        <f>B120/0.29307107</f>
        <v>3.4121416351330756</v>
      </c>
      <c r="E120" s="6">
        <f>B120/745.69987</f>
        <v>0.001341022092440488</v>
      </c>
    </row>
    <row r="121" spans="1:5" ht="12.75">
      <c r="A121" s="5" t="s">
        <v>34</v>
      </c>
      <c r="B121" s="6">
        <f>C121*1.163</f>
        <v>1.163</v>
      </c>
      <c r="C121" s="14">
        <v>1</v>
      </c>
      <c r="D121" s="6">
        <f>C121/0.2519957609</f>
        <v>3.9683207226522836</v>
      </c>
      <c r="E121" s="6">
        <f>C121/641.18647463</f>
        <v>0.0015596086935193935</v>
      </c>
    </row>
    <row r="122" spans="1:5" ht="12.75">
      <c r="A122" s="5" t="s">
        <v>35</v>
      </c>
      <c r="B122" s="6">
        <f>D122*0.29307107</f>
        <v>0.29307107</v>
      </c>
      <c r="C122" s="6">
        <f>D122*0.2519957609</f>
        <v>0.2519957609</v>
      </c>
      <c r="D122" s="14">
        <v>1</v>
      </c>
      <c r="E122" s="6">
        <f>D122/2544.4335737</f>
        <v>0.00039301477953140087</v>
      </c>
    </row>
    <row r="123" spans="1:5" ht="12.75">
      <c r="A123" s="5" t="s">
        <v>36</v>
      </c>
      <c r="B123" s="6">
        <f>E123*745.69987</f>
        <v>745.69987</v>
      </c>
      <c r="C123" s="6">
        <f>E123*641.18647463</f>
        <v>641.18647463</v>
      </c>
      <c r="D123" s="6">
        <f>E123*2544.4335737</f>
        <v>2544.4335737</v>
      </c>
      <c r="E123" s="14">
        <v>1</v>
      </c>
    </row>
    <row r="126" spans="1:4" ht="12.75">
      <c r="A126" s="1" t="s">
        <v>61</v>
      </c>
      <c r="B126" s="1"/>
      <c r="C126" s="1"/>
      <c r="D126" s="1"/>
    </row>
    <row r="128" spans="2:9" ht="15">
      <c r="B128" s="9" t="s">
        <v>2</v>
      </c>
      <c r="C128" s="9" t="s">
        <v>105</v>
      </c>
      <c r="D128" s="9" t="s">
        <v>3</v>
      </c>
      <c r="E128" s="9" t="s">
        <v>90</v>
      </c>
      <c r="F128" s="9" t="s">
        <v>91</v>
      </c>
      <c r="G128" s="9" t="s">
        <v>4</v>
      </c>
      <c r="H128" s="9" t="s">
        <v>45</v>
      </c>
      <c r="I128" s="9" t="s">
        <v>46</v>
      </c>
    </row>
    <row r="129" spans="1:9" ht="12.75">
      <c r="A129" s="10" t="s">
        <v>2</v>
      </c>
      <c r="B129" s="14">
        <v>1</v>
      </c>
      <c r="C129" s="6">
        <f>B129*100000</f>
        <v>100000</v>
      </c>
      <c r="D129" s="6">
        <f>B129*0.98692316931</f>
        <v>0.98692316931</v>
      </c>
      <c r="E129" s="6">
        <f>+B129*14.503773801</f>
        <v>14.503773801</v>
      </c>
      <c r="F129" s="6">
        <f>B129*1.019716213</f>
        <v>1.019716213</v>
      </c>
      <c r="G129" s="6">
        <f>B129*750.0615613</f>
        <v>750.0615613</v>
      </c>
      <c r="H129" s="6">
        <f>B129*401.46307867</f>
        <v>401.46307867</v>
      </c>
      <c r="I129" s="6">
        <f>+B129*10197.16213</f>
        <v>10197.16213</v>
      </c>
    </row>
    <row r="130" spans="1:9" ht="14.25">
      <c r="A130" s="10" t="s">
        <v>105</v>
      </c>
      <c r="B130" s="6">
        <f>1/C129*C130</f>
        <v>1E-05</v>
      </c>
      <c r="C130" s="14">
        <v>1</v>
      </c>
      <c r="D130" s="12">
        <f>C130*0.0000098692316931</f>
        <v>9.8692316931E-06</v>
      </c>
      <c r="E130" s="6">
        <f>C130*0.00014503773801</f>
        <v>0.00014503773801</v>
      </c>
      <c r="F130" s="13">
        <f>C130*0.0000098692316931</f>
        <v>9.8692316931E-06</v>
      </c>
      <c r="G130" s="6">
        <f>C130*0.007500615613</f>
        <v>0.007500615613</v>
      </c>
      <c r="H130" s="6">
        <f>C130*0.0040146307867</f>
        <v>0.0040146307867</v>
      </c>
      <c r="I130" s="12">
        <f>+B130*0.1019716213</f>
        <v>1.019716213E-06</v>
      </c>
    </row>
    <row r="131" spans="1:9" ht="12.75">
      <c r="A131" s="10" t="s">
        <v>3</v>
      </c>
      <c r="B131" s="6">
        <f>1/D129*D131</f>
        <v>1.0132501000043828</v>
      </c>
      <c r="C131" s="6">
        <f>1/D130*D131</f>
        <v>101325.01000043828</v>
      </c>
      <c r="D131" s="14">
        <v>1</v>
      </c>
      <c r="E131" s="6">
        <f>D131*14.695950254</f>
        <v>14.695950254</v>
      </c>
      <c r="F131" s="6">
        <f>D131*1.0332275548</f>
        <v>1.0332275548</v>
      </c>
      <c r="G131" s="6">
        <f>D131*759.999952</f>
        <v>759.999952</v>
      </c>
      <c r="H131" s="6">
        <f>D131*29.9212583</f>
        <v>29.9212583</v>
      </c>
      <c r="I131" s="6">
        <f>+D131*10332.275548</f>
        <v>10332.275548</v>
      </c>
    </row>
    <row r="132" spans="1:9" ht="14.25">
      <c r="A132" s="10" t="s">
        <v>90</v>
      </c>
      <c r="B132" s="6">
        <f>1/E129*E132</f>
        <v>0.06894757279867757</v>
      </c>
      <c r="C132" s="6">
        <f>1/E130*E132</f>
        <v>6894.7572798677575</v>
      </c>
      <c r="D132" s="6">
        <f>1/E131*E132</f>
        <v>0.06804595706411133</v>
      </c>
      <c r="E132" s="14">
        <v>1</v>
      </c>
      <c r="F132" s="6">
        <f>E132*0.07030695783</f>
        <v>0.07030695783</v>
      </c>
      <c r="G132" s="6">
        <f>E132*51.714924102</f>
        <v>51.714924102</v>
      </c>
      <c r="H132" s="6">
        <f>E132*2.0360206576</f>
        <v>2.0360206576</v>
      </c>
      <c r="I132" s="6">
        <f>+E132*0.7030695783</f>
        <v>0.7030695783</v>
      </c>
    </row>
    <row r="133" spans="1:9" ht="14.25">
      <c r="A133" s="10" t="s">
        <v>91</v>
      </c>
      <c r="B133" s="6">
        <f>1/F129*F133</f>
        <v>0.9806649999787735</v>
      </c>
      <c r="C133" s="6">
        <f>1/F130*F133</f>
        <v>101325.01000043828</v>
      </c>
      <c r="D133" s="6">
        <f>1/F131*F133</f>
        <v>0.9678410098088878</v>
      </c>
      <c r="E133" s="6">
        <f>1/F132*F133</f>
        <v>14.223343334211222</v>
      </c>
      <c r="F133" s="14">
        <v>1</v>
      </c>
      <c r="G133" s="6">
        <f>F133*735.55912101</f>
        <v>735.55912101</v>
      </c>
      <c r="H133" s="6">
        <f>F133*28.959020848</f>
        <v>28.959020848</v>
      </c>
      <c r="I133" s="6">
        <f>+F133*10000</f>
        <v>10000</v>
      </c>
    </row>
    <row r="134" spans="1:9" ht="12.75">
      <c r="A134" s="10" t="s">
        <v>4</v>
      </c>
      <c r="B134" s="6">
        <f>1/G129*G134</f>
        <v>0.0013332239000046996</v>
      </c>
      <c r="C134" s="6">
        <f>1/G130*G134</f>
        <v>133.32239000046994</v>
      </c>
      <c r="D134" s="6">
        <f>1/G130*G134</f>
        <v>133.32239000046994</v>
      </c>
      <c r="E134" s="6">
        <f>1/G132*G134</f>
        <v>0.01933677787146412</v>
      </c>
      <c r="F134" s="6">
        <f>1/G133*G134</f>
        <v>0.0013595100263686416</v>
      </c>
      <c r="G134" s="14">
        <v>1</v>
      </c>
      <c r="H134" s="6">
        <f>G134/25.4</f>
        <v>0.03937007874015748</v>
      </c>
      <c r="I134" s="6">
        <f>+G134*13.595100264</f>
        <v>13.595100264</v>
      </c>
    </row>
    <row r="135" spans="1:9" ht="12.75">
      <c r="A135" s="10" t="s">
        <v>45</v>
      </c>
      <c r="B135" s="6">
        <f>H135*0.033864*H135</f>
        <v>0.033864</v>
      </c>
      <c r="C135" s="6">
        <f>1/H130*H135</f>
        <v>249.08890832822846</v>
      </c>
      <c r="D135" s="6">
        <f>1/H131*H135</f>
        <v>0.03342105435452225</v>
      </c>
      <c r="E135" s="6">
        <f>1/H132*H135</f>
        <v>0.49115415222690817</v>
      </c>
      <c r="F135" s="6">
        <f>1/H133*H135</f>
        <v>0.03453155426935172</v>
      </c>
      <c r="G135" s="6">
        <f>H135*25.4</f>
        <v>25.4</v>
      </c>
      <c r="H135" s="14">
        <v>1</v>
      </c>
      <c r="I135" s="6">
        <f>+H135*345.31554269</f>
        <v>345.31554269</v>
      </c>
    </row>
    <row r="136" spans="1:9" ht="14.25">
      <c r="A136" s="10" t="s">
        <v>46</v>
      </c>
      <c r="B136" s="12">
        <f>I136/I129</f>
        <v>9.806649999787735E-05</v>
      </c>
      <c r="C136" s="6">
        <f>1/I130*$I$136</f>
        <v>980664.9999787735</v>
      </c>
      <c r="D136" s="12">
        <f>1/I131*$I$136</f>
        <v>9.678410098088879E-05</v>
      </c>
      <c r="E136" s="6">
        <f>1/I132*$I$136</f>
        <v>1.422334333421122</v>
      </c>
      <c r="F136" s="6">
        <f>1/I133*$I$136</f>
        <v>0.0001</v>
      </c>
      <c r="G136" s="6">
        <f>1/I134*$I$136</f>
        <v>0.07355591209930337</v>
      </c>
      <c r="H136" s="6">
        <f>1/I135*$I$136</f>
        <v>0.002895902084829497</v>
      </c>
      <c r="I136" s="14">
        <v>1</v>
      </c>
    </row>
    <row r="139" spans="1:4" ht="12.75">
      <c r="A139" s="1" t="s">
        <v>13</v>
      </c>
      <c r="B139" s="1"/>
      <c r="C139" s="1"/>
      <c r="D139" s="1"/>
    </row>
    <row r="141" spans="2:4" ht="14.25">
      <c r="B141" s="9" t="s">
        <v>92</v>
      </c>
      <c r="C141" s="9" t="s">
        <v>93</v>
      </c>
      <c r="D141" s="9" t="s">
        <v>94</v>
      </c>
    </row>
    <row r="142" spans="1:4" ht="14.25">
      <c r="A142" s="10" t="s">
        <v>92</v>
      </c>
      <c r="B142" s="14">
        <v>1</v>
      </c>
      <c r="C142" s="6">
        <f>B142*1550</f>
        <v>1550</v>
      </c>
      <c r="D142" s="6">
        <f>B142*10.764</f>
        <v>10.764</v>
      </c>
    </row>
    <row r="143" spans="1:4" ht="14.25">
      <c r="A143" s="10" t="s">
        <v>93</v>
      </c>
      <c r="B143" s="6">
        <f>C143*0.0006451</f>
        <v>0.0006451</v>
      </c>
      <c r="C143" s="14">
        <v>1</v>
      </c>
      <c r="D143" s="6">
        <f>C143*0.006944</f>
        <v>0.006944</v>
      </c>
    </row>
    <row r="144" spans="1:4" ht="14.25">
      <c r="A144" s="10" t="s">
        <v>94</v>
      </c>
      <c r="B144" s="6">
        <f>D144*0.0929</f>
        <v>0.0929</v>
      </c>
      <c r="C144" s="6">
        <f>D144*144</f>
        <v>144</v>
      </c>
      <c r="D144" s="14">
        <v>1</v>
      </c>
    </row>
    <row r="147" spans="1:4" ht="12.75">
      <c r="A147" s="1" t="s">
        <v>43</v>
      </c>
      <c r="B147" s="1"/>
      <c r="C147" s="1"/>
      <c r="D147" s="1"/>
    </row>
    <row r="149" spans="2:5" ht="12.75">
      <c r="B149" s="9" t="s">
        <v>5</v>
      </c>
      <c r="C149" s="9" t="s">
        <v>6</v>
      </c>
      <c r="D149" s="9" t="s">
        <v>7</v>
      </c>
      <c r="E149" s="9" t="s">
        <v>8</v>
      </c>
    </row>
    <row r="150" spans="1:5" ht="12.75">
      <c r="A150" s="5" t="s">
        <v>5</v>
      </c>
      <c r="B150" s="14">
        <v>1</v>
      </c>
      <c r="C150" s="6">
        <f>B150+273.15</f>
        <v>274.15</v>
      </c>
      <c r="D150" s="6">
        <f>1.8*B150+32</f>
        <v>33.8</v>
      </c>
      <c r="E150" s="6">
        <f>C150*1.8</f>
        <v>493.46999999999997</v>
      </c>
    </row>
    <row r="151" spans="1:5" ht="12.75">
      <c r="A151" s="5" t="s">
        <v>6</v>
      </c>
      <c r="B151" s="6">
        <f>C151-273.15</f>
        <v>-272.15</v>
      </c>
      <c r="C151" s="14">
        <v>1</v>
      </c>
      <c r="D151" s="6">
        <f>(B151*1.8)+32</f>
        <v>-457.86999999999995</v>
      </c>
      <c r="E151" s="6">
        <f>1.8*C151</f>
        <v>1.8</v>
      </c>
    </row>
    <row r="152" spans="1:5" ht="12.75">
      <c r="A152" s="5" t="s">
        <v>7</v>
      </c>
      <c r="B152" s="6">
        <f>(D152-32)/1.8</f>
        <v>-17.22222222222222</v>
      </c>
      <c r="C152" s="6">
        <f>B152+273.15</f>
        <v>255.92777777777775</v>
      </c>
      <c r="D152" s="14">
        <v>1</v>
      </c>
      <c r="E152" s="6">
        <f>D152+459.67</f>
        <v>460.67</v>
      </c>
    </row>
    <row r="153" spans="1:5" ht="12.75">
      <c r="A153" s="5" t="s">
        <v>8</v>
      </c>
      <c r="B153" s="6">
        <f>(D153-32)/1.8</f>
        <v>-272.59444444444443</v>
      </c>
      <c r="C153" s="6">
        <f>E153/1.8</f>
        <v>0.5555555555555556</v>
      </c>
      <c r="D153" s="6">
        <f>E153-459.67</f>
        <v>-458.67</v>
      </c>
      <c r="E153" s="14">
        <v>1</v>
      </c>
    </row>
    <row r="156" spans="1:4" ht="12.75">
      <c r="A156" s="1" t="s">
        <v>62</v>
      </c>
      <c r="B156" s="1"/>
      <c r="C156" s="1"/>
      <c r="D156" s="1"/>
    </row>
    <row r="158" spans="2:4" ht="14.25">
      <c r="B158" s="9" t="s">
        <v>95</v>
      </c>
      <c r="C158" s="9" t="s">
        <v>64</v>
      </c>
      <c r="D158" s="9" t="s">
        <v>96</v>
      </c>
    </row>
    <row r="159" spans="1:4" ht="14.25">
      <c r="A159" s="10" t="s">
        <v>95</v>
      </c>
      <c r="B159" s="14">
        <v>1</v>
      </c>
      <c r="C159" s="6">
        <f>B159*1000000</f>
        <v>1000000</v>
      </c>
      <c r="D159" s="6">
        <f>B159*10000</f>
        <v>10000</v>
      </c>
    </row>
    <row r="160" spans="1:4" ht="12.75">
      <c r="A160" s="10" t="s">
        <v>64</v>
      </c>
      <c r="B160" s="6">
        <f>C160*0.000001</f>
        <v>1E-06</v>
      </c>
      <c r="C160" s="14">
        <v>1</v>
      </c>
      <c r="D160" s="6">
        <f>C160*0.01</f>
        <v>0.01</v>
      </c>
    </row>
    <row r="161" spans="1:4" ht="14.25">
      <c r="A161" s="10" t="s">
        <v>96</v>
      </c>
      <c r="B161" s="6">
        <f>D161/1000</f>
        <v>0.001</v>
      </c>
      <c r="C161" s="6">
        <v>100</v>
      </c>
      <c r="D161" s="14">
        <v>1</v>
      </c>
    </row>
    <row r="164" spans="1:4" ht="12.75">
      <c r="A164" s="1" t="s">
        <v>63</v>
      </c>
      <c r="B164" s="1"/>
      <c r="C164" s="1"/>
      <c r="D164" s="1"/>
    </row>
    <row r="166" spans="2:7" ht="14.25">
      <c r="B166" s="9" t="s">
        <v>97</v>
      </c>
      <c r="C166" s="9" t="s">
        <v>98</v>
      </c>
      <c r="D166" s="9" t="s">
        <v>37</v>
      </c>
      <c r="E166" s="9" t="s">
        <v>99</v>
      </c>
      <c r="F166" s="9" t="s">
        <v>40</v>
      </c>
      <c r="G166" s="9" t="s">
        <v>38</v>
      </c>
    </row>
    <row r="167" spans="1:7" ht="14.25">
      <c r="A167" s="10" t="s">
        <v>97</v>
      </c>
      <c r="B167" s="14">
        <v>1</v>
      </c>
      <c r="C167" s="6">
        <f>B167*1000</f>
        <v>1000</v>
      </c>
      <c r="D167" s="6">
        <f>B167*0.67196899481</f>
        <v>0.67196899481</v>
      </c>
      <c r="E167" s="13">
        <f>B167*0.020885434225</f>
        <v>0.020885434225</v>
      </c>
      <c r="F167" s="6">
        <f>B167*2419.0883293</f>
        <v>2419.0883293</v>
      </c>
      <c r="G167" s="6">
        <f>B167*3600</f>
        <v>3600</v>
      </c>
    </row>
    <row r="168" spans="1:7" ht="12.75">
      <c r="A168" s="10" t="s">
        <v>98</v>
      </c>
      <c r="B168" s="6">
        <f>C168*0.001</f>
        <v>0.001</v>
      </c>
      <c r="C168" s="14">
        <v>1</v>
      </c>
      <c r="D168" s="6">
        <f>C168*0.00067196899481</f>
        <v>0.00067196899481</v>
      </c>
      <c r="E168" s="13">
        <f>C168*0.000020885434225</f>
        <v>2.0885434225E-05</v>
      </c>
      <c r="F168" s="6">
        <f>C168*2.4190883293</f>
        <v>2.4190883293</v>
      </c>
      <c r="G168" s="6">
        <f>C168*3.6</f>
        <v>3.6</v>
      </c>
    </row>
    <row r="169" spans="1:7" ht="12.75">
      <c r="A169" s="10" t="s">
        <v>37</v>
      </c>
      <c r="B169" s="6">
        <f>D169/0.67196899481</f>
        <v>1.4881639000066529</v>
      </c>
      <c r="C169" s="6">
        <f>D169*1488.16390000665</f>
        <v>1488.16390000665</v>
      </c>
      <c r="D169" s="14">
        <v>1</v>
      </c>
      <c r="E169" s="13">
        <f>D169*0.031080949249</f>
        <v>0.031080949249</v>
      </c>
      <c r="F169" s="6">
        <f>D169*3600</f>
        <v>3600</v>
      </c>
      <c r="G169" s="6">
        <f>D169*5357.39004</f>
        <v>5357.39004</v>
      </c>
    </row>
    <row r="170" spans="1:7" ht="14.25">
      <c r="A170" s="10" t="s">
        <v>99</v>
      </c>
      <c r="B170" s="6">
        <f>E170/0.020885434225</f>
        <v>47.880258999020164</v>
      </c>
      <c r="C170" s="6">
        <f>E170/0.000020885434225</f>
        <v>47880.25899902017</v>
      </c>
      <c r="D170" s="6">
        <f>E170/0.031080949249</f>
        <v>32.17404951144386</v>
      </c>
      <c r="E170" s="14">
        <v>1</v>
      </c>
      <c r="F170" s="6">
        <f>E170*115826.57575</f>
        <v>115826.57575</v>
      </c>
      <c r="G170" s="18">
        <f>E170*172368.9324</f>
        <v>172368.9324</v>
      </c>
    </row>
    <row r="171" spans="1:7" ht="12.75">
      <c r="A171" s="10" t="s">
        <v>40</v>
      </c>
      <c r="B171" s="6">
        <f>F171/2419.0883293</f>
        <v>0.0004133788700015618</v>
      </c>
      <c r="C171" s="6">
        <f>F171*0.413378870001562</f>
        <v>0.413378870001562</v>
      </c>
      <c r="D171" s="6">
        <f>F171/3600</f>
        <v>0.0002777777777777778</v>
      </c>
      <c r="E171" s="13">
        <f>F171/115826.57575</f>
        <v>8.633597199302509E-06</v>
      </c>
      <c r="F171" s="14">
        <v>1</v>
      </c>
      <c r="G171" s="8">
        <f>F171*1.488163932</f>
        <v>1.488163932</v>
      </c>
    </row>
    <row r="172" spans="1:7" ht="12.75">
      <c r="A172" s="10" t="s">
        <v>38</v>
      </c>
      <c r="B172" s="6">
        <f>G172/3600</f>
        <v>0.0002777777777777778</v>
      </c>
      <c r="C172" s="16">
        <f>G172/3.6</f>
        <v>0.2777777777777778</v>
      </c>
      <c r="D172" s="6">
        <f>G172/5357.39004</f>
        <v>0.00018665805411472336</v>
      </c>
      <c r="E172" s="13">
        <f>G172/172368.9324</f>
        <v>5.801509506825721E-06</v>
      </c>
      <c r="F172" s="19">
        <f>G172*0.67196898037</f>
        <v>0.67196898037</v>
      </c>
      <c r="G172" s="14">
        <v>1</v>
      </c>
    </row>
    <row r="175" spans="1:4" ht="12.75">
      <c r="A175" s="1" t="s">
        <v>0</v>
      </c>
      <c r="B175" s="1"/>
      <c r="C175" s="1"/>
      <c r="D175" s="1"/>
    </row>
    <row r="177" spans="2:7" ht="14.25">
      <c r="B177" s="9" t="s">
        <v>100</v>
      </c>
      <c r="C177" s="9" t="s">
        <v>101</v>
      </c>
      <c r="D177" s="9" t="s">
        <v>102</v>
      </c>
      <c r="E177" s="9" t="s">
        <v>103</v>
      </c>
      <c r="F177" s="9" t="s">
        <v>1</v>
      </c>
      <c r="G177" s="9" t="s">
        <v>104</v>
      </c>
    </row>
    <row r="178" spans="1:7" ht="14.25">
      <c r="A178" s="10" t="s">
        <v>100</v>
      </c>
      <c r="B178" s="14">
        <v>1</v>
      </c>
      <c r="C178" s="6">
        <f>B178*61023.7</f>
        <v>61023.7</v>
      </c>
      <c r="D178" s="6">
        <f>B178*35.314</f>
        <v>35.314</v>
      </c>
      <c r="E178" s="6">
        <f>B178*1000000</f>
        <v>1000000</v>
      </c>
      <c r="F178" s="6">
        <f>B178*1000</f>
        <v>1000</v>
      </c>
      <c r="G178" s="6">
        <f>B178*264.17</f>
        <v>264.17</v>
      </c>
    </row>
    <row r="179" spans="1:7" ht="14.25">
      <c r="A179" s="10" t="s">
        <v>101</v>
      </c>
      <c r="B179" s="6">
        <f>C179*0.00001638</f>
        <v>1.638E-05</v>
      </c>
      <c r="C179" s="14">
        <v>1</v>
      </c>
      <c r="D179" s="6">
        <f>C179*0.0005787</f>
        <v>0.0005787</v>
      </c>
      <c r="E179" s="6">
        <f>C179*16.38</f>
        <v>16.38</v>
      </c>
      <c r="F179" s="6">
        <f>C179*0.01638</f>
        <v>0.01638</v>
      </c>
      <c r="G179" s="6">
        <f>C179*0.004329</f>
        <v>0.004329</v>
      </c>
    </row>
    <row r="180" spans="1:7" ht="14.25">
      <c r="A180" s="10" t="s">
        <v>102</v>
      </c>
      <c r="B180" s="6">
        <f>D180*0.02831</f>
        <v>0.02831</v>
      </c>
      <c r="C180" s="6">
        <f>D180*1728</f>
        <v>1728</v>
      </c>
      <c r="D180" s="14">
        <v>1</v>
      </c>
      <c r="E180" s="6">
        <f>D180*28317</f>
        <v>28317</v>
      </c>
      <c r="F180" s="6">
        <f>D180*28.33</f>
        <v>28.33</v>
      </c>
      <c r="G180" s="6">
        <f>D180*7.4805</f>
        <v>7.4805</v>
      </c>
    </row>
    <row r="181" spans="1:7" ht="14.25">
      <c r="A181" s="10" t="s">
        <v>103</v>
      </c>
      <c r="B181" s="6">
        <f>E181*0.000001</f>
        <v>1E-06</v>
      </c>
      <c r="C181" s="6">
        <f>E181*0.061</f>
        <v>0.061</v>
      </c>
      <c r="D181" s="6">
        <f>E181*0.0000353</f>
        <v>3.53E-05</v>
      </c>
      <c r="E181" s="14">
        <v>1</v>
      </c>
      <c r="F181" s="6">
        <f>E181*0.001</f>
        <v>0.001</v>
      </c>
      <c r="G181" s="6">
        <f>E181*0.0002642</f>
        <v>0.0002642</v>
      </c>
    </row>
    <row r="182" spans="1:7" ht="12.75">
      <c r="A182" s="10" t="s">
        <v>1</v>
      </c>
      <c r="B182" s="6">
        <f>F182*0.001</f>
        <v>0.001</v>
      </c>
      <c r="C182" s="6">
        <f>F182*61.023</f>
        <v>61.023</v>
      </c>
      <c r="D182" s="6">
        <f>F182*0.0353</f>
        <v>0.0353</v>
      </c>
      <c r="E182" s="6">
        <f>F182*1000</f>
        <v>1000</v>
      </c>
      <c r="F182" s="14">
        <v>1</v>
      </c>
      <c r="G182" s="6">
        <f>F182*0.2642</f>
        <v>0.2642</v>
      </c>
    </row>
    <row r="183" spans="1:7" ht="12.75">
      <c r="A183" s="10" t="s">
        <v>104</v>
      </c>
      <c r="B183" s="6">
        <f>G183*0.003785</f>
        <v>0.003785</v>
      </c>
      <c r="C183" s="6">
        <f>G183*231</f>
        <v>231</v>
      </c>
      <c r="D183" s="6">
        <f>G183*0.1337</f>
        <v>0.1337</v>
      </c>
      <c r="E183" s="6">
        <f>G183*3785</f>
        <v>3785</v>
      </c>
      <c r="F183" s="6">
        <f>G183*3.785</f>
        <v>3.785</v>
      </c>
      <c r="G183" s="14">
        <v>1</v>
      </c>
    </row>
  </sheetData>
  <sheetProtection password="CE89" sheet="1"/>
  <mergeCells count="8">
    <mergeCell ref="A4:K4"/>
    <mergeCell ref="A9:B9"/>
    <mergeCell ref="A117:B117"/>
    <mergeCell ref="A1:K2"/>
    <mergeCell ref="A3:K3"/>
    <mergeCell ref="A6:K6"/>
    <mergeCell ref="A43:D43"/>
    <mergeCell ref="A83:D83"/>
  </mergeCells>
  <printOptions/>
  <pageMargins left="0.9448818897637796" right="0.4724409448818898" top="0.5905511811023623" bottom="0.5905511811023623" header="0" footer="0"/>
  <pageSetup fitToHeight="7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http://www.ingenieriaquimica.org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Conversión de Unidades</dc:title>
  <dc:subject>Planilla de Cálculo para Conversión de Unidades</dc:subject>
  <dc:creator>Mellor Goodwin Combustion S.A.</dc:creator>
  <cp:keywords>conversion unidades</cp:keywords>
  <dc:description>En caso de encontrar algún error, por favor comunicarlo a info@mellorgoodwin.com.
Permitida su reproducción total o parcial siempre que se mencione su fuente.</dc:description>
  <cp:lastModifiedBy>JOlivares</cp:lastModifiedBy>
  <cp:lastPrinted>2018-01-29T15:18:01Z</cp:lastPrinted>
  <dcterms:created xsi:type="dcterms:W3CDTF">2004-06-04T12:44:20Z</dcterms:created>
  <dcterms:modified xsi:type="dcterms:W3CDTF">2018-01-29T15:33:23Z</dcterms:modified>
  <cp:category/>
  <cp:version/>
  <cp:contentType/>
  <cp:contentStatus/>
</cp:coreProperties>
</file>